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1755" yWindow="45" windowWidth="19440" windowHeight="14880"/>
  </bookViews>
  <sheets>
    <sheet name="Morgain" sheetId="1" r:id="rId1"/>
    <sheet name="Bandas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H5" i="1"/>
  <c r="J5" i="1"/>
  <c r="C5" i="1"/>
  <c r="H17" i="1"/>
  <c r="G1" i="2" l="1"/>
  <c r="B12" i="2"/>
  <c r="A12" i="2"/>
  <c r="B11" i="2"/>
  <c r="B10" i="2"/>
  <c r="B9" i="2"/>
  <c r="B8" i="2"/>
  <c r="B7" i="2"/>
  <c r="B6" i="2"/>
  <c r="B5" i="2"/>
  <c r="B4" i="2"/>
  <c r="B3" i="2"/>
  <c r="B2" i="2"/>
  <c r="B1" i="2"/>
  <c r="A11" i="2"/>
  <c r="A10" i="2"/>
  <c r="A9" i="2"/>
  <c r="A8" i="2"/>
  <c r="A7" i="2"/>
  <c r="A6" i="2"/>
  <c r="A5" i="2"/>
  <c r="A4" i="2"/>
  <c r="A3" i="2"/>
  <c r="A2" i="2"/>
  <c r="A1" i="2"/>
  <c r="F11" i="2"/>
  <c r="C10" i="2" l="1"/>
  <c r="C5" i="2"/>
  <c r="G3" i="2"/>
  <c r="G5" i="2"/>
  <c r="G11" i="2"/>
  <c r="H11" i="2" s="1"/>
  <c r="G9" i="2"/>
  <c r="F2" i="2"/>
  <c r="F4" i="2"/>
  <c r="F6" i="2"/>
  <c r="F8" i="2"/>
  <c r="F10" i="2"/>
  <c r="F12" i="2"/>
  <c r="G7" i="2"/>
  <c r="G2" i="2"/>
  <c r="G4" i="2"/>
  <c r="G6" i="2"/>
  <c r="G8" i="2"/>
  <c r="G10" i="2"/>
  <c r="G12" i="2"/>
  <c r="F1" i="2"/>
  <c r="H1" i="2" s="1"/>
  <c r="F3" i="2"/>
  <c r="F5" i="2"/>
  <c r="F7" i="2"/>
  <c r="F9" i="2"/>
  <c r="C11" i="2"/>
  <c r="C12" i="2"/>
  <c r="C1" i="2"/>
  <c r="C3" i="2"/>
  <c r="C7" i="2"/>
  <c r="C2" i="2"/>
  <c r="C6" i="2"/>
  <c r="C8" i="2"/>
  <c r="C4" i="2"/>
  <c r="C9" i="2"/>
  <c r="H3" i="2" l="1"/>
  <c r="H5" i="2"/>
  <c r="H9" i="2"/>
  <c r="H10" i="2"/>
  <c r="H2" i="2"/>
  <c r="H8" i="2"/>
  <c r="H6" i="2"/>
  <c r="H12" i="2"/>
  <c r="H4" i="2"/>
  <c r="H7" i="2"/>
  <c r="L3" i="1"/>
</calcChain>
</file>

<file path=xl/sharedStrings.xml><?xml version="1.0" encoding="utf-8"?>
<sst xmlns="http://schemas.openxmlformats.org/spreadsheetml/2006/main" count="42" uniqueCount="25">
  <si>
    <t>Mhz</t>
  </si>
  <si>
    <t>Mts</t>
  </si>
  <si>
    <t>80 mts</t>
  </si>
  <si>
    <t>160 mts</t>
  </si>
  <si>
    <t>40 mts</t>
  </si>
  <si>
    <t>30 mts</t>
  </si>
  <si>
    <t>20 mts</t>
  </si>
  <si>
    <t>17 mts</t>
  </si>
  <si>
    <t>15 mts</t>
  </si>
  <si>
    <t>12 mts</t>
  </si>
  <si>
    <t>10 mts</t>
  </si>
  <si>
    <t>6 mts</t>
  </si>
  <si>
    <t>60 mts</t>
  </si>
  <si>
    <t>capturar:</t>
  </si>
  <si>
    <t>Fuera de rango</t>
  </si>
  <si>
    <t xml:space="preserve">Banda de: </t>
  </si>
  <si>
    <t>Antena Bazooka de XE1UD</t>
  </si>
  <si>
    <t>Cinta plana 300 Ohm</t>
  </si>
  <si>
    <t>Coaxial 50 ohm</t>
  </si>
  <si>
    <t xml:space="preserve">  Coaxial 50 ohm</t>
  </si>
  <si>
    <t xml:space="preserve">Frecuencia central = </t>
  </si>
  <si>
    <t>=</t>
  </si>
  <si>
    <t>Longitud total en metros</t>
  </si>
  <si>
    <t>Largo del coaxial en metros</t>
  </si>
  <si>
    <t>A+B+C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</si>
</sst>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ck">
        <color indexed="64"/>
      </bottom>
      <diagonal/>
    </border>
    <border diagonalDown="1">
      <left/>
      <right/>
      <top/>
      <bottom/>
      <diagonal style="thick">
        <color indexed="64"/>
      </diagonal>
    </border>
    <border>
      <left/>
      <right style="thick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/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/>
      <right/>
      <top/>
      <bottom/>
      <diagonal style="thick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ck">
        <color rgb="FFC00000"/>
      </diagonal>
    </border>
    <border>
      <left/>
      <right style="thick">
        <color rgb="FFC00000"/>
      </right>
      <top/>
      <bottom style="mediumDashed">
        <color indexed="64"/>
      </bottom>
      <diagonal/>
    </border>
    <border>
      <left/>
      <right style="thick">
        <color rgb="FFC00000"/>
      </right>
      <top/>
      <bottom/>
      <diagonal/>
    </border>
    <border diagonalDown="1">
      <left style="thick">
        <color rgb="FFC00000"/>
      </left>
      <right style="thick">
        <color rgb="FFC00000"/>
      </right>
      <top style="thick">
        <color rgb="FFC00000"/>
      </top>
      <bottom/>
      <diagonal style="thick">
        <color indexed="64"/>
      </diagonal>
    </border>
    <border diagonalUp="1">
      <left style="thick">
        <color rgb="FFC00000"/>
      </left>
      <right style="thick">
        <color rgb="FFC00000"/>
      </right>
      <top/>
      <bottom style="thick">
        <color rgb="FFC00000"/>
      </bottom>
      <diagonal style="thick">
        <color indexed="64"/>
      </diagonal>
    </border>
    <border>
      <left style="mediumDashed">
        <color indexed="64"/>
      </left>
      <right/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 diagonalUp="1">
      <left style="thick">
        <color rgb="FFC00000"/>
      </left>
      <right style="thick">
        <color rgb="FFC00000"/>
      </right>
      <top style="thick">
        <color rgb="FFC00000"/>
      </top>
      <bottom/>
      <diagonal style="thick">
        <color indexed="64"/>
      </diagonal>
    </border>
    <border diagonalDown="1">
      <left style="thick">
        <color rgb="FFC00000"/>
      </left>
      <right style="thick">
        <color rgb="FFC00000"/>
      </right>
      <top/>
      <bottom style="thick">
        <color rgb="FFC00000"/>
      </bottom>
      <diagonal style="thick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top"/>
    </xf>
    <xf numFmtId="0" fontId="0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43" fontId="4" fillId="0" borderId="0" xfId="0" applyNumberFormat="1" applyFont="1" applyBorder="1" applyAlignment="1">
      <alignment horizontal="left" vertical="top"/>
    </xf>
    <xf numFmtId="43" fontId="3" fillId="0" borderId="0" xfId="0" applyNumberFormat="1" applyFont="1" applyBorder="1" applyAlignment="1">
      <alignment horizontal="left" vertical="top"/>
    </xf>
    <xf numFmtId="20" fontId="0" fillId="0" borderId="0" xfId="0" quotePrefix="1" applyNumberFormat="1" applyAlignment="1">
      <alignment vertical="top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3" borderId="1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43" fontId="11" fillId="0" borderId="0" xfId="1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0" fontId="0" fillId="0" borderId="5" xfId="0" applyBorder="1" applyAlignment="1">
      <alignment horizontal="center" vertical="top"/>
    </xf>
    <xf numFmtId="164" fontId="8" fillId="0" borderId="19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164" fontId="8" fillId="0" borderId="20" xfId="0" applyNumberFormat="1" applyFont="1" applyBorder="1" applyAlignment="1">
      <alignment horizontal="left"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0" fontId="0" fillId="0" borderId="21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4" borderId="26" xfId="0" applyFill="1" applyBorder="1" applyAlignment="1">
      <alignment vertical="top"/>
    </xf>
    <xf numFmtId="0" fontId="0" fillId="4" borderId="27" xfId="0" applyFill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topLeftCell="A2" zoomScale="160" zoomScaleNormal="160" workbookViewId="0">
      <selection activeCell="I15" sqref="I15"/>
    </sheetView>
  </sheetViews>
  <sheetFormatPr defaultRowHeight="15" x14ac:dyDescent="0.25"/>
  <cols>
    <col min="1" max="1" width="6.28515625" style="2" customWidth="1"/>
    <col min="2" max="2" width="1.7109375" style="2" customWidth="1"/>
    <col min="3" max="3" width="20.7109375" style="2" customWidth="1"/>
    <col min="4" max="4" width="1.7109375" style="2" customWidth="1"/>
    <col min="5" max="5" width="30.7109375" style="2" customWidth="1"/>
    <col min="6" max="7" width="2.42578125" style="2" customWidth="1"/>
    <col min="8" max="8" width="30.7109375" style="2" customWidth="1"/>
    <col min="9" max="9" width="1.7109375" style="2" customWidth="1"/>
    <col min="10" max="10" width="20.7109375" style="2" customWidth="1"/>
    <col min="11" max="11" width="1.7109375" style="2" customWidth="1"/>
    <col min="12" max="12" width="10" style="2" bestFit="1" customWidth="1"/>
    <col min="13" max="13" width="4.85546875" style="2" customWidth="1"/>
    <col min="14" max="14" width="1.28515625" style="2" customWidth="1"/>
    <col min="15" max="15" width="12.7109375" style="2" customWidth="1"/>
    <col min="16" max="16" width="9.140625" style="2"/>
    <col min="17" max="17" width="4.85546875" style="2" customWidth="1"/>
    <col min="18" max="16384" width="9.140625" style="2"/>
  </cols>
  <sheetData>
    <row r="2" spans="1:17" ht="29.25" thickBot="1" x14ac:dyDescent="0.3">
      <c r="B2" s="15" t="s">
        <v>16</v>
      </c>
      <c r="H2" s="37" t="s">
        <v>13</v>
      </c>
    </row>
    <row r="3" spans="1:17" ht="21.75" thickBot="1" x14ac:dyDescent="0.3">
      <c r="G3" s="13" t="s">
        <v>20</v>
      </c>
      <c r="H3" s="21">
        <v>10.14</v>
      </c>
      <c r="I3" s="39" t="s">
        <v>0</v>
      </c>
      <c r="K3" s="13" t="s">
        <v>15</v>
      </c>
      <c r="L3" s="14" t="str">
        <f>VLOOKUP(Bandas!E1,Bandas!C:D,2,FALSE)</f>
        <v>30 mts</v>
      </c>
    </row>
    <row r="4" spans="1:17" ht="21" x14ac:dyDescent="0.25">
      <c r="A4" s="5"/>
      <c r="B4" s="5"/>
      <c r="C4" s="5"/>
      <c r="D4" s="5"/>
      <c r="E4" s="5"/>
      <c r="F4" s="6"/>
      <c r="G4" s="5"/>
      <c r="I4" s="16"/>
      <c r="J4" s="17"/>
      <c r="K4" s="18"/>
      <c r="L4" s="19"/>
      <c r="M4" s="16"/>
      <c r="N4" s="20"/>
      <c r="O4" s="19"/>
    </row>
    <row r="5" spans="1:17" ht="18.75" x14ac:dyDescent="0.25">
      <c r="A5" s="5"/>
      <c r="B5" s="5"/>
      <c r="C5" s="41">
        <f>20.57/H3</f>
        <v>2.0285996055226825</v>
      </c>
      <c r="D5" s="42"/>
      <c r="E5" s="45"/>
      <c r="F5" s="46" t="s">
        <v>23</v>
      </c>
      <c r="G5" s="47" t="s">
        <v>21</v>
      </c>
      <c r="H5" s="48">
        <f>99.06/H3</f>
        <v>9.7692307692307683</v>
      </c>
      <c r="I5" s="39"/>
      <c r="J5" s="41">
        <f>20.57/H3</f>
        <v>2.0285996055226825</v>
      </c>
    </row>
    <row r="6" spans="1:17" x14ac:dyDescent="0.25">
      <c r="A6" s="5"/>
      <c r="B6" s="5"/>
      <c r="C6" s="38" t="s">
        <v>1</v>
      </c>
      <c r="D6" s="5"/>
      <c r="E6" s="44"/>
      <c r="F6" s="5"/>
      <c r="G6" s="5"/>
      <c r="H6" s="9"/>
      <c r="J6" s="38" t="s">
        <v>1</v>
      </c>
    </row>
    <row r="7" spans="1:17" ht="15.75" thickBot="1" x14ac:dyDescent="0.3">
      <c r="A7" s="5"/>
      <c r="B7" s="5"/>
      <c r="C7" s="22"/>
      <c r="D7" s="5"/>
      <c r="E7" s="24"/>
      <c r="F7" s="5"/>
      <c r="G7" s="5"/>
      <c r="H7" s="24"/>
      <c r="I7" s="5"/>
      <c r="J7" s="22"/>
      <c r="K7" s="5"/>
      <c r="L7" s="5"/>
      <c r="Q7" s="7"/>
    </row>
    <row r="8" spans="1:17" ht="9.9499999999999993" customHeight="1" thickTop="1" thickBot="1" x14ac:dyDescent="0.3">
      <c r="A8" s="5"/>
      <c r="B8" s="29"/>
      <c r="C8" s="31"/>
      <c r="D8" s="57"/>
      <c r="E8" s="33"/>
      <c r="F8" s="28"/>
      <c r="G8" s="25"/>
      <c r="H8" s="59"/>
      <c r="I8" s="61"/>
      <c r="J8" s="31"/>
      <c r="K8" s="26"/>
      <c r="L8" s="5"/>
      <c r="M8" s="5"/>
      <c r="Q8" s="7"/>
    </row>
    <row r="9" spans="1:17" ht="9.9499999999999993" customHeight="1" thickTop="1" thickBot="1" x14ac:dyDescent="0.3">
      <c r="A9" s="5"/>
      <c r="B9" s="26"/>
      <c r="C9" s="32"/>
      <c r="D9" s="58"/>
      <c r="E9" s="34"/>
      <c r="F9" s="5"/>
      <c r="G9" s="23"/>
      <c r="H9" s="60"/>
      <c r="I9" s="62"/>
      <c r="J9" s="32"/>
      <c r="K9" s="29"/>
      <c r="L9" s="5"/>
    </row>
    <row r="10" spans="1:17" ht="15.75" thickTop="1" x14ac:dyDescent="0.25">
      <c r="B10" s="5"/>
      <c r="C10" s="30" t="s">
        <v>17</v>
      </c>
      <c r="E10" s="30" t="s">
        <v>18</v>
      </c>
      <c r="F10" s="54"/>
      <c r="G10" s="55"/>
      <c r="H10" s="30" t="s">
        <v>18</v>
      </c>
      <c r="I10" s="5"/>
      <c r="J10" s="30" t="s">
        <v>17</v>
      </c>
      <c r="K10" s="5"/>
      <c r="L10" s="5"/>
    </row>
    <row r="11" spans="1:17" ht="6" customHeight="1" thickBot="1" x14ac:dyDescent="0.3">
      <c r="B11" s="3"/>
      <c r="C11" s="10"/>
      <c r="D11" s="3"/>
      <c r="E11" s="11"/>
      <c r="F11" s="27"/>
      <c r="G11" s="56"/>
      <c r="I11" s="5"/>
    </row>
    <row r="12" spans="1:17" x14ac:dyDescent="0.25">
      <c r="E12" s="23"/>
      <c r="F12" s="35"/>
      <c r="G12" s="36"/>
      <c r="H12" s="12"/>
      <c r="J12" s="5"/>
    </row>
    <row r="13" spans="1:17" x14ac:dyDescent="0.25">
      <c r="E13" s="23"/>
      <c r="F13" s="35"/>
      <c r="G13" s="36"/>
    </row>
    <row r="14" spans="1:17" x14ac:dyDescent="0.25">
      <c r="E14" s="23"/>
      <c r="F14" s="35"/>
      <c r="G14" s="36"/>
      <c r="H14" s="2" t="s">
        <v>19</v>
      </c>
    </row>
    <row r="15" spans="1:17" s="5" customFormat="1" x14ac:dyDescent="0.25">
      <c r="E15" s="23"/>
      <c r="F15" s="35"/>
      <c r="G15" s="36"/>
    </row>
    <row r="16" spans="1:17" s="5" customFormat="1" x14ac:dyDescent="0.25">
      <c r="C16" s="49"/>
      <c r="D16" s="4"/>
      <c r="E16" s="4"/>
      <c r="F16" s="4"/>
      <c r="G16" s="4"/>
      <c r="H16" s="4"/>
      <c r="I16" s="4"/>
      <c r="J16" s="50"/>
    </row>
    <row r="17" spans="3:10" s="5" customFormat="1" ht="18.75" x14ac:dyDescent="0.25">
      <c r="C17" s="8"/>
      <c r="E17" s="43" t="s">
        <v>22</v>
      </c>
      <c r="F17" s="52" t="s">
        <v>21</v>
      </c>
      <c r="G17" s="43"/>
      <c r="H17" s="53">
        <f>140.2/H3</f>
        <v>13.826429980276131</v>
      </c>
      <c r="J17" s="9"/>
    </row>
    <row r="18" spans="3:10" s="5" customFormat="1" ht="18.75" x14ac:dyDescent="0.25">
      <c r="E18" s="40" t="s">
        <v>24</v>
      </c>
      <c r="F18" s="51" t="s">
        <v>21</v>
      </c>
      <c r="H18" s="53">
        <f>H5+(C5*2)</f>
        <v>13.826429980276133</v>
      </c>
    </row>
    <row r="19" spans="3:10" s="5" customFormat="1" x14ac:dyDescent="0.25"/>
    <row r="20" spans="3:10" s="5" customFormat="1" x14ac:dyDescent="0.25"/>
    <row r="21" spans="3:10" s="5" customFormat="1" x14ac:dyDescent="0.25"/>
    <row r="22" spans="3:10" s="5" customFormat="1" x14ac:dyDescent="0.25"/>
    <row r="23" spans="3:10" s="5" customFormat="1" x14ac:dyDescent="0.25"/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Q16" sqref="Q16"/>
    </sheetView>
  </sheetViews>
  <sheetFormatPr defaultRowHeight="15" x14ac:dyDescent="0.25"/>
  <sheetData>
    <row r="1" spans="1:9" x14ac:dyDescent="0.25">
      <c r="A1">
        <f>IF(Morgain!$H$3&gt;1.8,1,0)</f>
        <v>1</v>
      </c>
      <c r="B1">
        <f>IF(Morgain!$H$3&lt;2,1,0)</f>
        <v>0</v>
      </c>
      <c r="C1" t="b">
        <f t="shared" ref="C1:C7" si="0">AND(A1,B1)</f>
        <v>0</v>
      </c>
      <c r="D1" t="s">
        <v>3</v>
      </c>
      <c r="E1" t="b">
        <v>1</v>
      </c>
      <c r="F1">
        <f>IF(Morgain!$J$4&gt;1.8,1,0)</f>
        <v>0</v>
      </c>
      <c r="G1">
        <f>IF(Morgain!$J$4&lt;2,1,0)</f>
        <v>1</v>
      </c>
      <c r="H1" t="b">
        <f t="shared" ref="H1:H7" si="1">AND(F1,G1)</f>
        <v>0</v>
      </c>
      <c r="I1" t="s">
        <v>3</v>
      </c>
    </row>
    <row r="2" spans="1:9" x14ac:dyDescent="0.25">
      <c r="A2">
        <f>IF(Morgain!$H$3&gt;3.5,1,0)</f>
        <v>1</v>
      </c>
      <c r="B2">
        <f>IF(Morgain!$H$3&lt;4,1,0)</f>
        <v>0</v>
      </c>
      <c r="C2" t="b">
        <f t="shared" si="0"/>
        <v>0</v>
      </c>
      <c r="D2" t="s">
        <v>2</v>
      </c>
      <c r="F2">
        <f>IF(Morgain!$J$4&gt;3.5,1,0)</f>
        <v>0</v>
      </c>
      <c r="G2">
        <f>IF(Morgain!$J$4&lt;4,1,0)</f>
        <v>1</v>
      </c>
      <c r="H2" t="b">
        <f t="shared" si="1"/>
        <v>0</v>
      </c>
      <c r="I2" t="s">
        <v>2</v>
      </c>
    </row>
    <row r="3" spans="1:9" x14ac:dyDescent="0.25">
      <c r="A3">
        <f>IF(Morgain!$H$3&gt;5.3305,1,0)</f>
        <v>1</v>
      </c>
      <c r="B3">
        <f>IF(Morgain!$H$3&lt;5.405,1,0)</f>
        <v>0</v>
      </c>
      <c r="C3" t="b">
        <f t="shared" si="0"/>
        <v>0</v>
      </c>
      <c r="D3" t="s">
        <v>12</v>
      </c>
      <c r="F3">
        <f>IF(Morgain!$J$4&gt;5.3305,1,0)</f>
        <v>0</v>
      </c>
      <c r="G3">
        <f>IF(Morgain!$J$4&lt;5.405,1,0)</f>
        <v>1</v>
      </c>
      <c r="H3" t="b">
        <f t="shared" si="1"/>
        <v>0</v>
      </c>
      <c r="I3" t="s">
        <v>12</v>
      </c>
    </row>
    <row r="4" spans="1:9" x14ac:dyDescent="0.25">
      <c r="A4">
        <f>IF(Morgain!$H$3&gt;7,1,0)</f>
        <v>1</v>
      </c>
      <c r="B4">
        <f>IF(Morgain!$H$3&lt;7.3,1,0)</f>
        <v>0</v>
      </c>
      <c r="C4" t="b">
        <f t="shared" si="0"/>
        <v>0</v>
      </c>
      <c r="D4" t="s">
        <v>4</v>
      </c>
      <c r="F4">
        <f>IF(Morgain!$J$4&gt;7,1,0)</f>
        <v>0</v>
      </c>
      <c r="G4">
        <f>IF(Morgain!$J$4&lt;7.3,1,0)</f>
        <v>1</v>
      </c>
      <c r="H4" t="b">
        <f t="shared" si="1"/>
        <v>0</v>
      </c>
      <c r="I4" t="s">
        <v>4</v>
      </c>
    </row>
    <row r="5" spans="1:9" x14ac:dyDescent="0.25">
      <c r="A5">
        <f>IF(Morgain!$H$3&gt;10.1,1,0)</f>
        <v>1</v>
      </c>
      <c r="B5">
        <f>IF(Morgain!$H$3&lt;10.15,1,0)</f>
        <v>1</v>
      </c>
      <c r="C5" t="b">
        <f t="shared" si="0"/>
        <v>1</v>
      </c>
      <c r="D5" t="s">
        <v>5</v>
      </c>
      <c r="F5">
        <f>IF(Morgain!$J$4&gt;10.1,1,0)</f>
        <v>0</v>
      </c>
      <c r="G5">
        <f>IF(Morgain!$J$4&lt;10.15,1,0)</f>
        <v>1</v>
      </c>
      <c r="H5" t="b">
        <f t="shared" si="1"/>
        <v>0</v>
      </c>
      <c r="I5" t="s">
        <v>5</v>
      </c>
    </row>
    <row r="6" spans="1:9" x14ac:dyDescent="0.25">
      <c r="A6">
        <f>IF(Morgain!$H$3&gt;14,1,0)</f>
        <v>0</v>
      </c>
      <c r="B6">
        <f>IF(Morgain!$H$3&lt;14.35,1,0)</f>
        <v>1</v>
      </c>
      <c r="C6" t="b">
        <f t="shared" si="0"/>
        <v>0</v>
      </c>
      <c r="D6" t="s">
        <v>6</v>
      </c>
      <c r="F6">
        <f>IF(Morgain!$J$4&gt;14,1,0)</f>
        <v>0</v>
      </c>
      <c r="G6">
        <f>IF(Morgain!$J$4&lt;14.35,1,0)</f>
        <v>1</v>
      </c>
      <c r="H6" t="b">
        <f t="shared" si="1"/>
        <v>0</v>
      </c>
      <c r="I6" t="s">
        <v>6</v>
      </c>
    </row>
    <row r="7" spans="1:9" x14ac:dyDescent="0.25">
      <c r="A7">
        <f>IF(Morgain!$H$3&gt;18.068,1,0)</f>
        <v>0</v>
      </c>
      <c r="B7">
        <f>IF(Morgain!$H$3&lt;18.168,1,0)</f>
        <v>1</v>
      </c>
      <c r="C7" t="b">
        <f t="shared" si="0"/>
        <v>0</v>
      </c>
      <c r="D7" t="s">
        <v>7</v>
      </c>
      <c r="F7">
        <f>IF(Morgain!$J$4&gt;18.068,1,0)</f>
        <v>0</v>
      </c>
      <c r="G7">
        <f>IF(Morgain!$J$4&lt;18.168,1,0)</f>
        <v>1</v>
      </c>
      <c r="H7" t="b">
        <f t="shared" si="1"/>
        <v>0</v>
      </c>
      <c r="I7" t="s">
        <v>7</v>
      </c>
    </row>
    <row r="8" spans="1:9" x14ac:dyDescent="0.25">
      <c r="A8">
        <f>IF(Morgain!$H$3&gt;21,1,0)</f>
        <v>0</v>
      </c>
      <c r="B8">
        <f>IF(Morgain!$H$3&lt;21.45,1,0)</f>
        <v>1</v>
      </c>
      <c r="C8" t="b">
        <f t="shared" ref="C8:C11" si="2">AND(A8,B8)</f>
        <v>0</v>
      </c>
      <c r="D8" t="s">
        <v>8</v>
      </c>
      <c r="F8">
        <f>IF(Morgain!$J$4&gt;21,1,0)</f>
        <v>0</v>
      </c>
      <c r="G8">
        <f>IF(Morgain!$J$4&lt;21.45,1,0)</f>
        <v>1</v>
      </c>
      <c r="H8" t="b">
        <f t="shared" ref="H8:H11" si="3">AND(F8,G8)</f>
        <v>0</v>
      </c>
      <c r="I8" t="s">
        <v>8</v>
      </c>
    </row>
    <row r="9" spans="1:9" x14ac:dyDescent="0.25">
      <c r="A9">
        <f>IF(Morgain!$H$3&gt;24.89,1,0)</f>
        <v>0</v>
      </c>
      <c r="B9">
        <f>IF(Morgain!$H$3&lt;24.99,1,0)</f>
        <v>1</v>
      </c>
      <c r="C9" t="b">
        <f t="shared" si="2"/>
        <v>0</v>
      </c>
      <c r="D9" t="s">
        <v>9</v>
      </c>
      <c r="F9">
        <f>IF(Morgain!$J$4&gt;24.89,1,0)</f>
        <v>0</v>
      </c>
      <c r="G9">
        <f>IF(Morgain!$J$4&lt;24.99,1,0)</f>
        <v>1</v>
      </c>
      <c r="H9" t="b">
        <f t="shared" si="3"/>
        <v>0</v>
      </c>
      <c r="I9" t="s">
        <v>9</v>
      </c>
    </row>
    <row r="10" spans="1:9" x14ac:dyDescent="0.25">
      <c r="A10">
        <f>IF(Morgain!$H$3&gt;28,1,0)</f>
        <v>0</v>
      </c>
      <c r="B10">
        <f>IF(Morgain!$H$3&lt;29.7,1,0)</f>
        <v>1</v>
      </c>
      <c r="C10" t="b">
        <f t="shared" si="2"/>
        <v>0</v>
      </c>
      <c r="D10" t="s">
        <v>10</v>
      </c>
      <c r="F10">
        <f>IF(Morgain!$J$4&gt;28,1,0)</f>
        <v>0</v>
      </c>
      <c r="G10">
        <f>IF(Morgain!$J$4&lt;29.7,1,0)</f>
        <v>1</v>
      </c>
      <c r="H10" t="b">
        <f t="shared" si="3"/>
        <v>0</v>
      </c>
      <c r="I10" t="s">
        <v>10</v>
      </c>
    </row>
    <row r="11" spans="1:9" x14ac:dyDescent="0.25">
      <c r="A11">
        <f>IF(Morgain!$H$3&gt;50.1,1,0)</f>
        <v>0</v>
      </c>
      <c r="B11">
        <f>IF(Morgain!$H$3&lt;54,1,0)</f>
        <v>1</v>
      </c>
      <c r="C11" t="b">
        <f t="shared" si="2"/>
        <v>0</v>
      </c>
      <c r="D11" t="s">
        <v>11</v>
      </c>
      <c r="F11">
        <f>IF(Morgain!$J$4&gt;50.1,1,0)</f>
        <v>0</v>
      </c>
      <c r="G11">
        <f>IF(Morgain!$J$4&lt;54,1,0)</f>
        <v>1</v>
      </c>
      <c r="H11" t="b">
        <f t="shared" si="3"/>
        <v>0</v>
      </c>
      <c r="I11" t="s">
        <v>11</v>
      </c>
    </row>
    <row r="12" spans="1:9" x14ac:dyDescent="0.25">
      <c r="A12">
        <f>IF(Morgain!$H$3&lt;1.8,1,0)</f>
        <v>0</v>
      </c>
      <c r="B12">
        <f>IF(Morgain!$H$3&gt;54,1,0)</f>
        <v>0</v>
      </c>
      <c r="C12" t="b">
        <f>OR(A12,B12)</f>
        <v>0</v>
      </c>
      <c r="D12" s="1" t="s">
        <v>14</v>
      </c>
      <c r="F12">
        <f>IF(Morgain!$J$4&lt;1.8,1,0)</f>
        <v>1</v>
      </c>
      <c r="G12">
        <f>IF(Morgain!$J$4&gt;54,1,0)</f>
        <v>0</v>
      </c>
      <c r="H12" t="b">
        <f>OR(F12,G12)</f>
        <v>1</v>
      </c>
      <c r="I12" s="1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Morgain</vt:lpstr>
      <vt:lpstr>Bandas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Vasquez</dc:creator>
  <cp:lastModifiedBy>cdjnet</cp:lastModifiedBy>
  <dcterms:created xsi:type="dcterms:W3CDTF">2022-04-06T18:54:38Z</dcterms:created>
  <dcterms:modified xsi:type="dcterms:W3CDTF">2022-04-16T10:32:42Z</dcterms:modified>
</cp:coreProperties>
</file>